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.Esmanhoto\Documents\DIFAL Não contribuintes\"/>
    </mc:Choice>
  </mc:AlternateContent>
  <xr:revisionPtr revIDLastSave="0" documentId="13_ncr:1_{02002512-6BCE-4B1D-BE10-330F98D9AB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" sheetId="3" r:id="rId1"/>
    <sheet name="Plan9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3" l="1"/>
  <c r="C7" i="3"/>
  <c r="C18" i="3"/>
  <c r="C4" i="3" l="1"/>
  <c r="C5" i="3" l="1"/>
  <c r="C6" i="3" s="1"/>
  <c r="C13" i="3" l="1"/>
  <c r="C8" i="3"/>
  <c r="N43" i="9"/>
  <c r="N44" i="9" s="1"/>
  <c r="M38" i="9"/>
  <c r="U37" i="9"/>
  <c r="U38" i="9" s="1"/>
  <c r="U39" i="9" s="1"/>
  <c r="R37" i="9"/>
  <c r="U33" i="9"/>
  <c r="U34" i="9" s="1"/>
  <c r="R33" i="9"/>
  <c r="R34" i="9" s="1"/>
  <c r="N31" i="9"/>
  <c r="N32" i="9" s="1"/>
  <c r="N33" i="9" s="1"/>
  <c r="C9" i="3" l="1"/>
  <c r="C14" i="3" s="1"/>
  <c r="C15" i="3" s="1"/>
  <c r="N47" i="9"/>
  <c r="N45" i="9"/>
  <c r="N46" i="9" s="1"/>
  <c r="U41" i="9"/>
  <c r="U42" i="9" s="1"/>
  <c r="U45" i="9"/>
  <c r="N35" i="9"/>
  <c r="N36" i="9" s="1"/>
  <c r="N34" i="9"/>
  <c r="R38" i="9"/>
  <c r="R39" i="9" s="1"/>
  <c r="C16" i="3" l="1"/>
  <c r="C17" i="3" s="1"/>
  <c r="C12" i="3"/>
  <c r="C11" i="3"/>
  <c r="N48" i="9"/>
  <c r="U46" i="9"/>
  <c r="U47" i="9" s="1"/>
  <c r="R41" i="9"/>
  <c r="R42" i="9" s="1"/>
  <c r="R45" i="9"/>
  <c r="R46" i="9" l="1"/>
  <c r="R47" i="9" s="1"/>
  <c r="U48" i="9" l="1"/>
  <c r="U4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Robson</author>
  </authors>
  <commentList>
    <comment ref="N3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Robson:</t>
        </r>
        <r>
          <rPr>
            <sz val="9"/>
            <color indexed="81"/>
            <rFont val="Tahoma"/>
            <family val="2"/>
          </rPr>
          <t xml:space="preserve">
Custo que foi determinado na filial ES </t>
        </r>
      </text>
    </comment>
    <comment ref="N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Robson:</t>
        </r>
        <r>
          <rPr>
            <sz val="9"/>
            <color indexed="81"/>
            <rFont val="Tahoma"/>
            <family val="2"/>
          </rPr>
          <t xml:space="preserve">
Custo que foi determinado na filial ES </t>
        </r>
      </text>
    </comment>
  </commentList>
</comments>
</file>

<file path=xl/sharedStrings.xml><?xml version="1.0" encoding="utf-8"?>
<sst xmlns="http://schemas.openxmlformats.org/spreadsheetml/2006/main" count="70" uniqueCount="56">
  <si>
    <t>CX</t>
  </si>
  <si>
    <t xml:space="preserve">CUSTO DA MERCADORIA </t>
  </si>
  <si>
    <t>CRÉDITO DE TRIBUTOS (ICMS - PIS/COFINS)</t>
  </si>
  <si>
    <t>CUSTO LÍQUIDO DE TRIBUTOS</t>
  </si>
  <si>
    <t xml:space="preserve">PREÇO DE VENDA COM ICMS </t>
  </si>
  <si>
    <r>
      <t xml:space="preserve">MARGEM DE LUCRO PRÓPRIA </t>
    </r>
    <r>
      <rPr>
        <sz val="8"/>
        <rFont val="Arial"/>
        <family val="2"/>
      </rPr>
      <t>(SOBRE CUSTO SEM IMPOSTOS RECUPERÁVEIS)</t>
    </r>
  </si>
  <si>
    <r>
      <t xml:space="preserve">VALOR DE VENDA SEM IMPOSTOS DEVIDOS NA VENDA </t>
    </r>
    <r>
      <rPr>
        <sz val="8"/>
        <rFont val="Arial"/>
        <family val="2"/>
      </rPr>
      <t>(ICMS)</t>
    </r>
  </si>
  <si>
    <r>
      <t xml:space="preserve">IMPOSTOS SOBRE A VENDA </t>
    </r>
    <r>
      <rPr>
        <sz val="8"/>
        <rFont val="Arial"/>
        <family val="2"/>
      </rPr>
      <t>(ICMS - PIS/COFINS)</t>
    </r>
  </si>
  <si>
    <t>Preço de Venda</t>
  </si>
  <si>
    <t>BC ICMS</t>
  </si>
  <si>
    <t>ICMS</t>
  </si>
  <si>
    <t>Preço de Compra</t>
  </si>
  <si>
    <t>MVA</t>
  </si>
  <si>
    <t>4 + 5</t>
  </si>
  <si>
    <t>BC ICMS/ST</t>
  </si>
  <si>
    <t>Aliq. Varejo</t>
  </si>
  <si>
    <t>7 x 8</t>
  </si>
  <si>
    <t>ICMS/ST</t>
  </si>
  <si>
    <t>9 - 3</t>
  </si>
  <si>
    <t>Teste 2% ICMS/ST</t>
  </si>
  <si>
    <t xml:space="preserve">11x7 </t>
  </si>
  <si>
    <t>&gt; entre 12 ou 10</t>
  </si>
  <si>
    <t>Valor total com ICMS/ST</t>
  </si>
  <si>
    <t>5054866</t>
  </si>
  <si>
    <t>5056116</t>
  </si>
  <si>
    <t>DET PO SURF 1KG ROSAS E FLOR D LIZ SH(16</t>
  </si>
  <si>
    <t>Amazenagem RJ</t>
  </si>
  <si>
    <t>Amazenagem MG</t>
  </si>
  <si>
    <t>Armazenagem MG / ST sobre o preço de venda</t>
  </si>
  <si>
    <t>Armazenagem RJ /6% mais caro</t>
  </si>
  <si>
    <t>LIMP CIF 500ML DESENG COZINHA (12)</t>
  </si>
  <si>
    <t>5023618</t>
  </si>
  <si>
    <t>DET PO OMO L1KG P 900GR (20)</t>
  </si>
  <si>
    <t>NF</t>
  </si>
  <si>
    <t>Código</t>
  </si>
  <si>
    <t>Descrição</t>
  </si>
  <si>
    <t>Condição pra MG melhor</t>
  </si>
  <si>
    <t>QUANTIDADE</t>
  </si>
  <si>
    <t>UNITÁRIO</t>
  </si>
  <si>
    <t>VALOR TOTAL PRODUTOS</t>
  </si>
  <si>
    <t>IPI</t>
  </si>
  <si>
    <t>TOTAL NF</t>
  </si>
  <si>
    <t>PIS</t>
  </si>
  <si>
    <t>COFINS</t>
  </si>
  <si>
    <t xml:space="preserve">B.C. ICMS </t>
  </si>
  <si>
    <t>B.C. PIS / COFINS</t>
  </si>
  <si>
    <t>OPERAÇÃO DE SC PARA SP</t>
  </si>
  <si>
    <t>B.C. IPI</t>
  </si>
  <si>
    <t>ALIQUOTA INTERTERESTADUAL</t>
  </si>
  <si>
    <t xml:space="preserve">VALOR DA OPERAÇÃO SEM ICMS </t>
  </si>
  <si>
    <t>BASE DE CALCULO DO DIFAL</t>
  </si>
  <si>
    <t>(1-18%)=0,82</t>
  </si>
  <si>
    <t>ALIQUOTA INTERNA ICMS</t>
  </si>
  <si>
    <t>VALOR A SER RECOLHIDO</t>
  </si>
  <si>
    <t>DIFAL PARA CONTRIBUINTE SP</t>
  </si>
  <si>
    <t>(R$ 202,83-R$ 126,00)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</si>
</sst>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302E2E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0" fillId="2" borderId="3" xfId="0" applyFill="1" applyBorder="1" applyAlignment="1">
      <alignment horizontal="centerContinuous"/>
    </xf>
    <xf numFmtId="43" fontId="4" fillId="3" borderId="4" xfId="1" applyFont="1" applyFill="1" applyBorder="1"/>
    <xf numFmtId="0" fontId="4" fillId="0" borderId="5" xfId="0" applyFont="1" applyBorder="1"/>
    <xf numFmtId="10" fontId="4" fillId="3" borderId="6" xfId="2" applyNumberFormat="1" applyFont="1" applyFill="1" applyBorder="1" applyAlignment="1">
      <alignment horizontal="center" vertical="center"/>
    </xf>
    <xf numFmtId="43" fontId="4" fillId="4" borderId="7" xfId="1" applyFont="1" applyFill="1" applyBorder="1"/>
    <xf numFmtId="9" fontId="4" fillId="2" borderId="8" xfId="2" applyNumberFormat="1" applyFont="1" applyFill="1" applyBorder="1" applyAlignment="1">
      <alignment horizontal="center" vertical="center"/>
    </xf>
    <xf numFmtId="9" fontId="4" fillId="3" borderId="1" xfId="2" applyNumberFormat="1" applyFont="1" applyFill="1" applyBorder="1" applyAlignment="1">
      <alignment horizontal="center" vertical="center"/>
    </xf>
    <xf numFmtId="43" fontId="4" fillId="0" borderId="7" xfId="1" applyFont="1" applyFill="1" applyBorder="1"/>
    <xf numFmtId="9" fontId="4" fillId="2" borderId="9" xfId="0" applyNumberFormat="1" applyFont="1" applyFill="1" applyBorder="1" applyAlignment="1">
      <alignment horizontal="center" vertical="center"/>
    </xf>
    <xf numFmtId="43" fontId="0" fillId="0" borderId="7" xfId="1" applyFont="1" applyBorder="1"/>
    <xf numFmtId="43" fontId="4" fillId="0" borderId="7" xfId="1" quotePrefix="1" applyFont="1" applyFill="1" applyBorder="1"/>
    <xf numFmtId="9" fontId="4" fillId="2" borderId="0" xfId="0" applyNumberFormat="1" applyFont="1" applyFill="1" applyBorder="1" applyAlignment="1">
      <alignment horizontal="center" vertical="center"/>
    </xf>
    <xf numFmtId="43" fontId="4" fillId="0" borderId="7" xfId="1" quotePrefix="1" applyFont="1" applyFill="1" applyBorder="1" applyAlignment="1">
      <alignment horizontal="center"/>
    </xf>
    <xf numFmtId="4" fontId="8" fillId="0" borderId="0" xfId="0" applyNumberFormat="1" applyFont="1"/>
    <xf numFmtId="0" fontId="0" fillId="5" borderId="1" xfId="0" applyFill="1" applyBorder="1"/>
    <xf numFmtId="0" fontId="0" fillId="0" borderId="0" xfId="0" applyFill="1"/>
    <xf numFmtId="49" fontId="0" fillId="0" borderId="0" xfId="0" applyNumberFormat="1" applyFill="1"/>
    <xf numFmtId="0" fontId="0" fillId="0" borderId="12" xfId="0" applyBorder="1" applyAlignment="1">
      <alignment horizontal="center" vertical="center"/>
    </xf>
    <xf numFmtId="43" fontId="9" fillId="0" borderId="4" xfId="1" applyFont="1" applyBorder="1"/>
    <xf numFmtId="0" fontId="9" fillId="0" borderId="0" xfId="0" applyFont="1"/>
    <xf numFmtId="0" fontId="9" fillId="0" borderId="1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43" fontId="9" fillId="0" borderId="13" xfId="1" applyFont="1" applyBorder="1"/>
    <xf numFmtId="9" fontId="0" fillId="0" borderId="14" xfId="0" applyNumberFormat="1" applyBorder="1" applyAlignment="1">
      <alignment horizontal="center" vertical="center"/>
    </xf>
    <xf numFmtId="43" fontId="1" fillId="5" borderId="15" xfId="1" applyFont="1" applyFill="1" applyBorder="1"/>
    <xf numFmtId="0" fontId="0" fillId="0" borderId="16" xfId="0" applyBorder="1" applyAlignment="1">
      <alignment horizontal="center" vertical="center"/>
    </xf>
    <xf numFmtId="43" fontId="1" fillId="0" borderId="16" xfId="1" applyFont="1" applyBorder="1"/>
    <xf numFmtId="43" fontId="10" fillId="0" borderId="4" xfId="1" applyFont="1" applyBorder="1"/>
    <xf numFmtId="10" fontId="10" fillId="0" borderId="1" xfId="0" applyNumberFormat="1" applyFont="1" applyBorder="1" applyAlignment="1">
      <alignment horizontal="center" vertical="center"/>
    </xf>
    <xf numFmtId="43" fontId="9" fillId="0" borderId="7" xfId="1" applyFont="1" applyBorder="1"/>
    <xf numFmtId="0" fontId="0" fillId="0" borderId="1" xfId="0" applyBorder="1" applyAlignment="1">
      <alignment horizontal="center" vertical="center"/>
    </xf>
    <xf numFmtId="43" fontId="1" fillId="0" borderId="7" xfId="1" applyFont="1" applyBorder="1"/>
    <xf numFmtId="10" fontId="0" fillId="0" borderId="1" xfId="0" applyNumberFormat="1" applyBorder="1" applyAlignment="1">
      <alignment horizontal="center" vertical="center"/>
    </xf>
    <xf numFmtId="9" fontId="1" fillId="0" borderId="7" xfId="1" applyNumberFormat="1" applyFont="1" applyBorder="1"/>
    <xf numFmtId="16" fontId="0" fillId="0" borderId="14" xfId="0" quotePrefix="1" applyNumberFormat="1" applyBorder="1" applyAlignment="1">
      <alignment horizontal="center" vertical="center"/>
    </xf>
    <xf numFmtId="43" fontId="1" fillId="0" borderId="15" xfId="1" applyNumberFormat="1" applyFont="1" applyBorder="1"/>
    <xf numFmtId="16" fontId="0" fillId="0" borderId="0" xfId="0" quotePrefix="1" applyNumberFormat="1" applyBorder="1" applyAlignment="1">
      <alignment horizontal="center" vertical="center"/>
    </xf>
    <xf numFmtId="43" fontId="1" fillId="0" borderId="0" xfId="1" applyFont="1" applyBorder="1"/>
    <xf numFmtId="9" fontId="1" fillId="0" borderId="4" xfId="1" applyNumberFormat="1" applyFont="1" applyBorder="1"/>
    <xf numFmtId="0" fontId="0" fillId="0" borderId="1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43" fontId="2" fillId="5" borderId="15" xfId="1" applyFont="1" applyFill="1" applyBorder="1"/>
    <xf numFmtId="0" fontId="2" fillId="0" borderId="0" xfId="0" applyFont="1"/>
    <xf numFmtId="43" fontId="0" fillId="0" borderId="0" xfId="0" applyNumberFormat="1"/>
    <xf numFmtId="0" fontId="4" fillId="0" borderId="17" xfId="0" applyFont="1" applyBorder="1"/>
    <xf numFmtId="0" fontId="0" fillId="6" borderId="1" xfId="0" applyFill="1" applyBorder="1"/>
    <xf numFmtId="43" fontId="0" fillId="0" borderId="0" xfId="1" applyFont="1"/>
    <xf numFmtId="0" fontId="0" fillId="0" borderId="0" xfId="0" applyAlignment="1">
      <alignment horizontal="center"/>
    </xf>
    <xf numFmtId="0" fontId="12" fillId="0" borderId="0" xfId="0" applyFont="1"/>
    <xf numFmtId="0" fontId="13" fillId="7" borderId="0" xfId="0" applyFont="1" applyFill="1"/>
    <xf numFmtId="4" fontId="13" fillId="7" borderId="0" xfId="0" applyNumberFormat="1" applyFont="1" applyFill="1"/>
    <xf numFmtId="4" fontId="12" fillId="0" borderId="0" xfId="0" applyNumberFormat="1" applyFont="1"/>
    <xf numFmtId="10" fontId="12" fillId="0" borderId="0" xfId="0" applyNumberFormat="1" applyFont="1"/>
    <xf numFmtId="9" fontId="12" fillId="0" borderId="0" xfId="2" applyFont="1"/>
    <xf numFmtId="49" fontId="0" fillId="0" borderId="0" xfId="0" applyNumberFormat="1" applyFill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3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</cellXfs>
  <cellStyles count="5">
    <cellStyle name="Normal" xfId="0" builtinId="0"/>
    <cellStyle name="Normal 2" xfId="3" xr:uid="{1C3C2BED-2904-45C0-A3FB-03B56A0D7451}"/>
    <cellStyle name="Porcentagem" xfId="2" builtinId="5"/>
    <cellStyle name="Porcentagem 3" xfId="4" xr:uid="{CF7CBA73-A847-4D98-9157-AD4E5D22DFA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265905</xdr:colOff>
      <xdr:row>27</xdr:row>
      <xdr:rowOff>75548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61905" cy="5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10</xdr:col>
      <xdr:colOff>161143</xdr:colOff>
      <xdr:row>56</xdr:row>
      <xdr:rowOff>132656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34000"/>
          <a:ext cx="6257143" cy="5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zoomScale="120" zoomScaleNormal="120" workbookViewId="0">
      <selection activeCell="C13" sqref="C13"/>
    </sheetView>
  </sheetViews>
  <sheetFormatPr defaultColWidth="12.42578125" defaultRowHeight="12" x14ac:dyDescent="0.2"/>
  <cols>
    <col min="1" max="1" width="26.28515625" style="50" bestFit="1" customWidth="1"/>
    <col min="2" max="2" width="16" style="50" customWidth="1"/>
    <col min="3" max="16384" width="12.42578125" style="50"/>
  </cols>
  <sheetData>
    <row r="1" spans="1:3" x14ac:dyDescent="0.2">
      <c r="A1" s="61" t="s">
        <v>46</v>
      </c>
      <c r="B1" s="61"/>
      <c r="C1" s="61"/>
    </row>
    <row r="2" spans="1:3" ht="13.5" customHeight="1" x14ac:dyDescent="0.2">
      <c r="A2" s="51" t="s">
        <v>37</v>
      </c>
      <c r="B2" s="51"/>
      <c r="C2" s="51">
        <v>1</v>
      </c>
    </row>
    <row r="3" spans="1:3" ht="13.5" customHeight="1" x14ac:dyDescent="0.2">
      <c r="A3" s="51" t="s">
        <v>38</v>
      </c>
      <c r="B3" s="51"/>
      <c r="C3" s="52">
        <v>1000</v>
      </c>
    </row>
    <row r="4" spans="1:3" ht="13.5" customHeight="1" x14ac:dyDescent="0.2">
      <c r="A4" s="50" t="s">
        <v>39</v>
      </c>
      <c r="C4" s="53">
        <f>ROUND(C2*C3,2)</f>
        <v>1000</v>
      </c>
    </row>
    <row r="5" spans="1:3" ht="13.5" customHeight="1" x14ac:dyDescent="0.2">
      <c r="A5" s="50" t="s">
        <v>47</v>
      </c>
      <c r="B5" s="54"/>
      <c r="C5" s="53">
        <f>C4</f>
        <v>1000</v>
      </c>
    </row>
    <row r="6" spans="1:3" ht="13.5" customHeight="1" x14ac:dyDescent="0.2">
      <c r="A6" s="50" t="s">
        <v>40</v>
      </c>
      <c r="B6" s="54">
        <v>0.05</v>
      </c>
      <c r="C6" s="53">
        <f>ROUND(C5*B6,2)</f>
        <v>50</v>
      </c>
    </row>
    <row r="7" spans="1:3" ht="13.5" customHeight="1" x14ac:dyDescent="0.2">
      <c r="A7" s="51" t="s">
        <v>41</v>
      </c>
      <c r="B7" s="51"/>
      <c r="C7" s="52">
        <f>C4+C6</f>
        <v>1050</v>
      </c>
    </row>
    <row r="8" spans="1:3" ht="13.5" customHeight="1" x14ac:dyDescent="0.2">
      <c r="A8" s="50" t="s">
        <v>44</v>
      </c>
      <c r="B8" s="54"/>
      <c r="C8" s="53">
        <f>C7</f>
        <v>1050</v>
      </c>
    </row>
    <row r="9" spans="1:3" ht="13.5" customHeight="1" x14ac:dyDescent="0.2">
      <c r="A9" s="50" t="s">
        <v>10</v>
      </c>
      <c r="B9" s="54">
        <v>0.12</v>
      </c>
      <c r="C9" s="53">
        <f>ROUND(C8*B9,2)</f>
        <v>126</v>
      </c>
    </row>
    <row r="10" spans="1:3" ht="13.5" customHeight="1" x14ac:dyDescent="0.2">
      <c r="A10" s="50" t="s">
        <v>45</v>
      </c>
      <c r="B10" s="54"/>
      <c r="C10" s="53">
        <f>C4</f>
        <v>1000</v>
      </c>
    </row>
    <row r="11" spans="1:3" ht="13.5" customHeight="1" x14ac:dyDescent="0.2">
      <c r="A11" s="50" t="s">
        <v>42</v>
      </c>
      <c r="B11" s="54">
        <v>1.6500000000000001E-2</v>
      </c>
      <c r="C11" s="53">
        <f>ROUND(B11*C10,2)</f>
        <v>16.5</v>
      </c>
    </row>
    <row r="12" spans="1:3" ht="13.5" customHeight="1" x14ac:dyDescent="0.2">
      <c r="A12" s="50" t="s">
        <v>43</v>
      </c>
      <c r="B12" s="54">
        <v>7.5999999999999998E-2</v>
      </c>
      <c r="C12" s="53">
        <f>ROUND(B12*C10,2)</f>
        <v>76</v>
      </c>
    </row>
    <row r="13" spans="1:3" ht="13.5" customHeight="1" x14ac:dyDescent="0.2">
      <c r="A13" s="50" t="s">
        <v>54</v>
      </c>
      <c r="B13" s="54"/>
      <c r="C13" s="53">
        <f>C7</f>
        <v>1050</v>
      </c>
    </row>
    <row r="14" spans="1:3" ht="13.5" customHeight="1" x14ac:dyDescent="0.2">
      <c r="A14" s="50" t="s">
        <v>48</v>
      </c>
      <c r="B14" s="54">
        <v>0.12</v>
      </c>
      <c r="C14" s="53">
        <f>C9</f>
        <v>126</v>
      </c>
    </row>
    <row r="15" spans="1:3" ht="13.5" customHeight="1" x14ac:dyDescent="0.2">
      <c r="A15" s="50" t="s">
        <v>49</v>
      </c>
      <c r="B15" s="54"/>
      <c r="C15" s="53">
        <f>C13-C14</f>
        <v>924</v>
      </c>
    </row>
    <row r="16" spans="1:3" ht="13.5" customHeight="1" x14ac:dyDescent="0.2">
      <c r="A16" s="50" t="s">
        <v>50</v>
      </c>
      <c r="B16" s="62" t="s">
        <v>51</v>
      </c>
      <c r="C16" s="53">
        <f>ROUND(C15/0.82,2)</f>
        <v>1126.83</v>
      </c>
    </row>
    <row r="17" spans="1:3" ht="13.5" customHeight="1" x14ac:dyDescent="0.2">
      <c r="A17" s="50" t="s">
        <v>52</v>
      </c>
      <c r="B17" s="54">
        <v>0.18</v>
      </c>
      <c r="C17" s="53">
        <f>ROUND(C16*B17,2)</f>
        <v>202.83</v>
      </c>
    </row>
    <row r="18" spans="1:3" ht="13.5" customHeight="1" x14ac:dyDescent="0.2">
      <c r="A18" s="50" t="s">
        <v>53</v>
      </c>
      <c r="B18" s="54" t="s">
        <v>55</v>
      </c>
      <c r="C18" s="53">
        <f>C17-C14</f>
        <v>76.830000000000013</v>
      </c>
    </row>
    <row r="19" spans="1:3" ht="12" customHeight="1" x14ac:dyDescent="0.2"/>
    <row r="20" spans="1:3" x14ac:dyDescent="0.2">
      <c r="B20" s="54"/>
      <c r="C20" s="53"/>
    </row>
    <row r="21" spans="1:3" x14ac:dyDescent="0.2">
      <c r="C21" s="55"/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26:V49"/>
  <sheetViews>
    <sheetView topLeftCell="L26" workbookViewId="0">
      <selection activeCell="Q26" sqref="Q26:V29"/>
    </sheetView>
  </sheetViews>
  <sheetFormatPr defaultRowHeight="15" x14ac:dyDescent="0.25"/>
  <cols>
    <col min="12" max="12" width="65" bestFit="1" customWidth="1"/>
    <col min="16" max="16" width="22.5703125" bestFit="1" customWidth="1"/>
    <col min="22" max="22" width="23.140625" bestFit="1" customWidth="1"/>
  </cols>
  <sheetData>
    <row r="26" spans="12:22" x14ac:dyDescent="0.25">
      <c r="P26" s="49" t="s">
        <v>33</v>
      </c>
      <c r="Q26" t="s">
        <v>34</v>
      </c>
      <c r="R26" t="s">
        <v>35</v>
      </c>
      <c r="V26" t="s">
        <v>36</v>
      </c>
    </row>
    <row r="27" spans="12:22" x14ac:dyDescent="0.25">
      <c r="P27" s="49">
        <v>723535</v>
      </c>
      <c r="Q27" s="18" t="s">
        <v>24</v>
      </c>
      <c r="R27" s="56" t="s">
        <v>25</v>
      </c>
      <c r="S27" s="56"/>
      <c r="T27" s="56"/>
      <c r="U27" s="56"/>
      <c r="V27">
        <v>1.9E-2</v>
      </c>
    </row>
    <row r="28" spans="12:22" x14ac:dyDescent="0.25">
      <c r="P28" s="49">
        <v>721946</v>
      </c>
      <c r="Q28" s="18" t="s">
        <v>31</v>
      </c>
      <c r="R28" s="56" t="s">
        <v>30</v>
      </c>
      <c r="S28" s="56"/>
      <c r="T28" s="56"/>
      <c r="U28" s="56"/>
      <c r="V28">
        <v>1.7000000000000001E-2</v>
      </c>
    </row>
    <row r="29" spans="12:22" ht="15.75" thickBot="1" x14ac:dyDescent="0.3">
      <c r="L29" s="16" t="s">
        <v>28</v>
      </c>
      <c r="M29" t="s">
        <v>0</v>
      </c>
      <c r="N29" s="1">
        <v>0</v>
      </c>
      <c r="P29" s="49">
        <v>721944</v>
      </c>
      <c r="Q29" s="18" t="s">
        <v>23</v>
      </c>
      <c r="R29" s="56" t="s">
        <v>32</v>
      </c>
      <c r="S29" s="56"/>
      <c r="T29" s="56"/>
      <c r="U29" s="56"/>
      <c r="V29">
        <v>1.9E-2</v>
      </c>
    </row>
    <row r="30" spans="12:22" ht="15.75" thickBot="1" x14ac:dyDescent="0.3">
      <c r="L30" s="46" t="s">
        <v>1</v>
      </c>
      <c r="M30" s="2"/>
      <c r="N30" s="3">
        <v>117.53</v>
      </c>
      <c r="Q30" s="18"/>
      <c r="R30" s="17"/>
      <c r="S30" s="17"/>
      <c r="T30" s="17"/>
      <c r="U30" s="17"/>
    </row>
    <row r="31" spans="12:22" ht="15.75" thickBot="1" x14ac:dyDescent="0.3">
      <c r="L31" s="4" t="s">
        <v>2</v>
      </c>
      <c r="M31" s="5">
        <v>0.21249999999999999</v>
      </c>
      <c r="N31" s="6">
        <f>N30*M31</f>
        <v>24.975124999999998</v>
      </c>
      <c r="Q31" s="57" t="s">
        <v>27</v>
      </c>
      <c r="R31" s="58"/>
      <c r="T31" s="59" t="s">
        <v>26</v>
      </c>
      <c r="U31" s="60"/>
    </row>
    <row r="32" spans="12:22" x14ac:dyDescent="0.25">
      <c r="L32" s="4" t="s">
        <v>3</v>
      </c>
      <c r="M32" s="7"/>
      <c r="N32" s="6">
        <f>N30-N31</f>
        <v>92.55487500000001</v>
      </c>
      <c r="P32" t="s">
        <v>8</v>
      </c>
      <c r="Q32" s="19"/>
      <c r="R32" s="20">
        <v>139.57</v>
      </c>
      <c r="S32" s="21"/>
      <c r="T32" s="22"/>
      <c r="U32" s="20">
        <v>139.57</v>
      </c>
    </row>
    <row r="33" spans="12:21" x14ac:dyDescent="0.25">
      <c r="L33" s="4" t="s">
        <v>5</v>
      </c>
      <c r="M33" s="8">
        <v>0</v>
      </c>
      <c r="N33" s="9">
        <f>(N32/(1-(M33+M35)))*M33</f>
        <v>0</v>
      </c>
      <c r="P33" t="s">
        <v>9</v>
      </c>
      <c r="Q33" s="23">
        <v>0.7</v>
      </c>
      <c r="R33" s="24">
        <f>R32*Q33</f>
        <v>97.698999999999984</v>
      </c>
      <c r="T33" s="23">
        <v>0.7</v>
      </c>
      <c r="U33" s="24">
        <f>U32*T33</f>
        <v>97.698999999999984</v>
      </c>
    </row>
    <row r="34" spans="12:21" ht="15.75" thickBot="1" x14ac:dyDescent="0.3">
      <c r="L34" s="4" t="s">
        <v>6</v>
      </c>
      <c r="M34" s="10"/>
      <c r="N34" s="11">
        <f>N32+N33</f>
        <v>92.55487500000001</v>
      </c>
      <c r="P34" t="s">
        <v>10</v>
      </c>
      <c r="Q34" s="25">
        <v>0.2</v>
      </c>
      <c r="R34" s="26">
        <f>R33*Q34</f>
        <v>19.5398</v>
      </c>
      <c r="T34" s="25">
        <v>0.2</v>
      </c>
      <c r="U34" s="26">
        <f>U33*T34</f>
        <v>19.5398</v>
      </c>
    </row>
    <row r="35" spans="12:21" ht="15.75" thickBot="1" x14ac:dyDescent="0.3">
      <c r="L35" s="4" t="s">
        <v>7</v>
      </c>
      <c r="M35" s="5">
        <v>0</v>
      </c>
      <c r="N35" s="12">
        <f>(N32/(1-(M33+M35)))*M35</f>
        <v>0</v>
      </c>
      <c r="Q35" s="27"/>
      <c r="R35" s="28"/>
      <c r="T35" s="27"/>
      <c r="U35" s="28"/>
    </row>
    <row r="36" spans="12:21" x14ac:dyDescent="0.25">
      <c r="L36" s="4" t="s">
        <v>4</v>
      </c>
      <c r="M36" s="13"/>
      <c r="N36" s="14">
        <f>N32+N33+N35</f>
        <v>92.55487500000001</v>
      </c>
      <c r="P36" t="s">
        <v>11</v>
      </c>
      <c r="Q36" s="19"/>
      <c r="R36" s="29">
        <v>139.57</v>
      </c>
      <c r="T36" s="19"/>
      <c r="U36" s="29">
        <v>117.53</v>
      </c>
    </row>
    <row r="37" spans="12:21" x14ac:dyDescent="0.25">
      <c r="P37" t="s">
        <v>12</v>
      </c>
      <c r="Q37" s="30">
        <v>0.32990000000000003</v>
      </c>
      <c r="R37" s="31">
        <f>R36*Q37</f>
        <v>46.044142999999998</v>
      </c>
      <c r="T37" s="30">
        <v>0.32990000000000003</v>
      </c>
      <c r="U37" s="31">
        <f>U36*T37</f>
        <v>38.773147000000002</v>
      </c>
    </row>
    <row r="38" spans="12:21" x14ac:dyDescent="0.25">
      <c r="M38" s="48">
        <f>(M39*N38)/N39</f>
        <v>124.5818</v>
      </c>
      <c r="N38">
        <v>106</v>
      </c>
      <c r="Q38" s="32" t="s">
        <v>13</v>
      </c>
      <c r="R38" s="33">
        <f>R36+R37</f>
        <v>185.61414299999998</v>
      </c>
      <c r="T38" s="32" t="s">
        <v>13</v>
      </c>
      <c r="U38" s="33">
        <f>U36+U37</f>
        <v>156.303147</v>
      </c>
    </row>
    <row r="39" spans="12:21" x14ac:dyDescent="0.25">
      <c r="M39" s="1">
        <v>117.53</v>
      </c>
      <c r="N39">
        <v>100</v>
      </c>
      <c r="P39" t="s">
        <v>14</v>
      </c>
      <c r="Q39" s="34">
        <v>0.75</v>
      </c>
      <c r="R39" s="33">
        <f>R38*Q39</f>
        <v>139.21060724999998</v>
      </c>
      <c r="T39" s="34">
        <v>0.75</v>
      </c>
      <c r="U39" s="33">
        <f>U38*T39</f>
        <v>117.22736025</v>
      </c>
    </row>
    <row r="40" spans="12:21" x14ac:dyDescent="0.25">
      <c r="N40" s="15"/>
      <c r="P40" t="s">
        <v>15</v>
      </c>
      <c r="Q40" s="32"/>
      <c r="R40" s="35">
        <v>0.2</v>
      </c>
      <c r="T40" s="32"/>
      <c r="U40" s="35">
        <v>0.2</v>
      </c>
    </row>
    <row r="41" spans="12:21" ht="15.75" thickBot="1" x14ac:dyDescent="0.3">
      <c r="L41" s="47" t="s">
        <v>29</v>
      </c>
      <c r="M41" t="s">
        <v>0</v>
      </c>
      <c r="N41" s="1">
        <v>0</v>
      </c>
      <c r="Q41" s="32" t="s">
        <v>16</v>
      </c>
      <c r="R41" s="33">
        <f>R39*R40</f>
        <v>27.842121449999997</v>
      </c>
      <c r="T41" s="32" t="s">
        <v>16</v>
      </c>
      <c r="U41" s="33">
        <f>U39*U40</f>
        <v>23.445472050000003</v>
      </c>
    </row>
    <row r="42" spans="12:21" ht="15.75" thickBot="1" x14ac:dyDescent="0.3">
      <c r="L42" s="46" t="s">
        <v>1</v>
      </c>
      <c r="M42" s="2"/>
      <c r="N42" s="3">
        <v>124.58</v>
      </c>
      <c r="P42" t="s">
        <v>17</v>
      </c>
      <c r="Q42" s="36" t="s">
        <v>18</v>
      </c>
      <c r="R42" s="37">
        <f>R41-R34</f>
        <v>8.3023214499999973</v>
      </c>
      <c r="T42" s="36" t="s">
        <v>18</v>
      </c>
      <c r="U42" s="37">
        <f>U41-U34</f>
        <v>3.9056720500000033</v>
      </c>
    </row>
    <row r="43" spans="12:21" ht="15.75" thickBot="1" x14ac:dyDescent="0.3">
      <c r="L43" s="4" t="s">
        <v>2</v>
      </c>
      <c r="M43" s="5">
        <v>0.21249999999999999</v>
      </c>
      <c r="N43" s="6">
        <f>N42*M43</f>
        <v>26.47325</v>
      </c>
      <c r="Q43" s="38"/>
      <c r="R43" s="39"/>
      <c r="T43" s="38"/>
      <c r="U43" s="39"/>
    </row>
    <row r="44" spans="12:21" x14ac:dyDescent="0.25">
      <c r="L44" s="4" t="s">
        <v>3</v>
      </c>
      <c r="M44" s="7"/>
      <c r="N44" s="6">
        <f>N42-N43</f>
        <v>98.106750000000005</v>
      </c>
      <c r="P44" t="s">
        <v>19</v>
      </c>
      <c r="Q44" s="19"/>
      <c r="R44" s="40">
        <v>0.02</v>
      </c>
      <c r="T44" s="19"/>
      <c r="U44" s="40">
        <v>0</v>
      </c>
    </row>
    <row r="45" spans="12:21" x14ac:dyDescent="0.25">
      <c r="L45" s="4" t="s">
        <v>5</v>
      </c>
      <c r="M45" s="8">
        <v>0</v>
      </c>
      <c r="N45" s="9">
        <f>(N44/(1-(M45+M47)))*M45</f>
        <v>0</v>
      </c>
      <c r="Q45" s="41" t="s">
        <v>20</v>
      </c>
      <c r="R45" s="33">
        <f>R44*R39</f>
        <v>2.7842121449999997</v>
      </c>
      <c r="T45" s="41" t="s">
        <v>20</v>
      </c>
      <c r="U45" s="33">
        <f>U44*U39</f>
        <v>0</v>
      </c>
    </row>
    <row r="46" spans="12:21" ht="15.75" thickBot="1" x14ac:dyDescent="0.3">
      <c r="L46" s="4" t="s">
        <v>6</v>
      </c>
      <c r="M46" s="10"/>
      <c r="N46" s="11">
        <f>N44+N45</f>
        <v>98.106750000000005</v>
      </c>
      <c r="Q46" s="42" t="s">
        <v>21</v>
      </c>
      <c r="R46" s="43">
        <f>IF(R42&gt;R45,R42,R45)</f>
        <v>8.3023214499999973</v>
      </c>
      <c r="T46" s="42" t="s">
        <v>21</v>
      </c>
      <c r="U46" s="43">
        <f>IF(U42&gt;U45,U42,U45)</f>
        <v>3.9056720500000033</v>
      </c>
    </row>
    <row r="47" spans="12:21" x14ac:dyDescent="0.25">
      <c r="L47" s="4" t="s">
        <v>7</v>
      </c>
      <c r="M47" s="5">
        <v>0</v>
      </c>
      <c r="N47" s="12">
        <f>(N44/(1-(M45+M47)))*M47</f>
        <v>0</v>
      </c>
      <c r="P47" t="s">
        <v>22</v>
      </c>
      <c r="Q47" s="44"/>
      <c r="R47" s="45">
        <f>R46+R32</f>
        <v>147.87232144999999</v>
      </c>
      <c r="T47" s="44"/>
      <c r="U47" s="45">
        <f>U46+U32</f>
        <v>143.47567204999999</v>
      </c>
    </row>
    <row r="48" spans="12:21" x14ac:dyDescent="0.25">
      <c r="L48" s="4" t="s">
        <v>4</v>
      </c>
      <c r="M48" s="13"/>
      <c r="N48" s="14">
        <f>N44+N45+N47</f>
        <v>98.106750000000005</v>
      </c>
      <c r="U48">
        <f>R47/U47</f>
        <v>1.0306438669161124</v>
      </c>
    </row>
    <row r="49" spans="21:21" x14ac:dyDescent="0.25">
      <c r="U49">
        <f>U47/R47-1</f>
        <v>-2.9732740765056831E-2</v>
      </c>
    </row>
  </sheetData>
  <mergeCells count="5">
    <mergeCell ref="R29:U29"/>
    <mergeCell ref="Q31:R31"/>
    <mergeCell ref="T31:U31"/>
    <mergeCell ref="R28:U28"/>
    <mergeCell ref="R27:U27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</vt:lpstr>
      <vt:lpstr>Plan9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</dc:creator>
  <cp:lastModifiedBy>Fernando.Esmanhoto</cp:lastModifiedBy>
  <dcterms:created xsi:type="dcterms:W3CDTF">2017-04-10T16:30:36Z</dcterms:created>
  <dcterms:modified xsi:type="dcterms:W3CDTF">2022-07-23T10:39:36Z</dcterms:modified>
</cp:coreProperties>
</file>